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r\Dropbox\inforse.eu\Green Change Agents-DH.Ukraine 2022\"/>
    </mc:Choice>
  </mc:AlternateContent>
  <xr:revisionPtr revIDLastSave="0" documentId="8_{A12BD567-13DB-4371-A901-D1BD4D28FF63}" xr6:coauthVersionLast="47" xr6:coauthVersionMax="47" xr10:uidLastSave="{00000000-0000-0000-0000-000000000000}"/>
  <bookViews>
    <workbookView xWindow="-110" yWindow="-110" windowWidth="19420" windowHeight="10300" xr2:uid="{32E0E503-FFD5-49C1-A865-FFC1F308AF0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1" l="1"/>
  <c r="Q23" i="1"/>
  <c r="D57" i="1" l="1"/>
  <c r="D56" i="1"/>
  <c r="B56" i="1"/>
  <c r="I56" i="1"/>
  <c r="D51" i="1" l="1"/>
  <c r="D70" i="1"/>
  <c r="D69" i="1"/>
  <c r="D71" i="1" s="1"/>
  <c r="G68" i="1"/>
  <c r="F67" i="1"/>
  <c r="D55" i="1"/>
  <c r="G50" i="1"/>
  <c r="D52" i="1" s="1"/>
  <c r="D53" i="1" s="1"/>
  <c r="F49" i="1"/>
  <c r="D58" i="1"/>
  <c r="R22" i="1"/>
  <c r="R21" i="1"/>
  <c r="R20" i="1"/>
  <c r="R19" i="1"/>
  <c r="R18" i="1"/>
  <c r="R17" i="1"/>
  <c r="R16" i="1"/>
  <c r="R15" i="1"/>
  <c r="R14" i="1"/>
  <c r="R13" i="1"/>
  <c r="R12" i="1"/>
  <c r="R11" i="1"/>
  <c r="P22" i="1"/>
  <c r="P21" i="1"/>
  <c r="P20" i="1"/>
  <c r="P19" i="1"/>
  <c r="P18" i="1"/>
  <c r="P17" i="1"/>
  <c r="P16" i="1"/>
  <c r="P15" i="1"/>
  <c r="P14" i="1"/>
  <c r="P13" i="1"/>
  <c r="P12" i="1"/>
  <c r="P11" i="1"/>
  <c r="I5" i="1"/>
  <c r="I4" i="1"/>
  <c r="E24" i="1"/>
  <c r="J24" i="1"/>
  <c r="G3" i="1"/>
  <c r="C3" i="1" s="1"/>
  <c r="I17" i="1" l="1"/>
  <c r="N18" i="1"/>
  <c r="O18" i="1" s="1"/>
  <c r="D22" i="1"/>
  <c r="E22" i="1" s="1"/>
  <c r="Q22" i="1" s="1"/>
  <c r="I12" i="1"/>
  <c r="J12" i="1" s="1"/>
  <c r="S12" i="1" s="1"/>
  <c r="I13" i="1"/>
  <c r="I16" i="1"/>
  <c r="J16" i="1" s="1"/>
  <c r="S16" i="1" s="1"/>
  <c r="I18" i="1"/>
  <c r="J18" i="1" s="1"/>
  <c r="S18" i="1" s="1"/>
  <c r="I19" i="1"/>
  <c r="J19" i="1" s="1"/>
  <c r="S19" i="1" s="1"/>
  <c r="I20" i="1"/>
  <c r="J20" i="1" s="1"/>
  <c r="S20" i="1" s="1"/>
  <c r="I21" i="1"/>
  <c r="J21" i="1" s="1"/>
  <c r="S21" i="1" s="1"/>
  <c r="I11" i="1"/>
  <c r="J11" i="1" s="1"/>
  <c r="S11" i="1" s="1"/>
  <c r="D16" i="1"/>
  <c r="E16" i="1" s="1"/>
  <c r="Q16" i="1" s="1"/>
  <c r="D15" i="1"/>
  <c r="E15" i="1" s="1"/>
  <c r="Q15" i="1" s="1"/>
  <c r="D17" i="1"/>
  <c r="E17" i="1" s="1"/>
  <c r="Q17" i="1" s="1"/>
  <c r="I14" i="1"/>
  <c r="J14" i="1" s="1"/>
  <c r="S14" i="1" s="1"/>
  <c r="I22" i="1"/>
  <c r="J22" i="1" s="1"/>
  <c r="S22" i="1" s="1"/>
  <c r="D18" i="1"/>
  <c r="E18" i="1" s="1"/>
  <c r="Q18" i="1" s="1"/>
  <c r="I15" i="1"/>
  <c r="J15" i="1" s="1"/>
  <c r="S15" i="1" s="1"/>
  <c r="D11" i="1"/>
  <c r="E11" i="1" s="1"/>
  <c r="Q11" i="1" s="1"/>
  <c r="D19" i="1"/>
  <c r="E19" i="1" s="1"/>
  <c r="Q19" i="1" s="1"/>
  <c r="D12" i="1"/>
  <c r="E12" i="1" s="1"/>
  <c r="Q12" i="1" s="1"/>
  <c r="D20" i="1"/>
  <c r="E20" i="1" s="1"/>
  <c r="Q20" i="1" s="1"/>
  <c r="D13" i="1"/>
  <c r="E13" i="1" s="1"/>
  <c r="Q13" i="1" s="1"/>
  <c r="D21" i="1"/>
  <c r="E21" i="1" s="1"/>
  <c r="Q21" i="1" s="1"/>
  <c r="D14" i="1"/>
  <c r="E14" i="1" s="1"/>
  <c r="Q14" i="1" s="1"/>
  <c r="N16" i="1"/>
  <c r="O16" i="1" s="1"/>
  <c r="N11" i="1"/>
  <c r="O11" i="1" s="1"/>
  <c r="N17" i="1"/>
  <c r="O17" i="1" s="1"/>
  <c r="J13" i="1"/>
  <c r="S13" i="1" s="1"/>
  <c r="N12" i="1"/>
  <c r="O12" i="1" s="1"/>
  <c r="N19" i="1"/>
  <c r="O19" i="1" s="1"/>
  <c r="N13" i="1"/>
  <c r="O13" i="1" s="1"/>
  <c r="N14" i="1"/>
  <c r="O14" i="1" s="1"/>
  <c r="N20" i="1"/>
  <c r="O20" i="1" s="1"/>
  <c r="N15" i="1"/>
  <c r="O15" i="1" s="1"/>
  <c r="N21" i="1"/>
  <c r="O21" i="1" s="1"/>
  <c r="J17" i="1"/>
  <c r="S17" i="1" s="1"/>
  <c r="N22" i="1"/>
  <c r="O22" i="1" s="1"/>
  <c r="O23" i="1" l="1"/>
  <c r="O25" i="1" s="1"/>
  <c r="O27" i="1" s="1"/>
  <c r="E23" i="1"/>
  <c r="E25" i="1" s="1"/>
  <c r="J23" i="1"/>
  <c r="J25" i="1" s="1"/>
  <c r="J27" i="1" l="1"/>
  <c r="D63" i="1"/>
  <c r="D64" i="1" s="1"/>
  <c r="I64" i="1" s="1"/>
  <c r="E27" i="1"/>
  <c r="D72" i="1"/>
  <c r="D73" i="1" s="1"/>
  <c r="D60" i="1"/>
  <c r="D61" i="1" l="1"/>
  <c r="I61" i="1" s="1"/>
  <c r="F73" i="1" l="1"/>
</calcChain>
</file>

<file path=xl/sharedStrings.xml><?xml version="1.0" encoding="utf-8"?>
<sst xmlns="http://schemas.openxmlformats.org/spreadsheetml/2006/main" count="112" uniqueCount="78">
  <si>
    <t>Eta</t>
  </si>
  <si>
    <t>Eta-0</t>
  </si>
  <si>
    <t>a1</t>
  </si>
  <si>
    <t>a2</t>
  </si>
  <si>
    <t>Tm</t>
  </si>
  <si>
    <t>Ta</t>
  </si>
  <si>
    <t>G</t>
  </si>
  <si>
    <t>Tf</t>
  </si>
  <si>
    <t>Tr</t>
  </si>
  <si>
    <t>Kiev</t>
  </si>
  <si>
    <t>Jan</t>
  </si>
  <si>
    <t xml:space="preserve">Feb 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</si>
  <si>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</si>
  <si>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</si>
  <si>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</si>
  <si>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</si>
  <si>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</si>
  <si>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</si>
  <si>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</si>
  <si>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</si>
  <si>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</si>
  <si>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</si>
  <si>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Output</t>
  </si>
  <si>
    <t>Temp</t>
  </si>
  <si>
    <t>Eff</t>
  </si>
  <si>
    <t>Odessa</t>
  </si>
  <si>
    <t>Total</t>
  </si>
  <si>
    <t>kWh/m2</t>
  </si>
  <si>
    <t>Area</t>
  </si>
  <si>
    <t>m2</t>
  </si>
  <si>
    <t>MWh</t>
  </si>
  <si>
    <t>Copenhagen</t>
  </si>
  <si>
    <t>Reduction parameter</t>
  </si>
  <si>
    <t>SUM</t>
  </si>
  <si>
    <t>Heat/m2</t>
  </si>
  <si>
    <t>W/m2 Avg.</t>
  </si>
  <si>
    <t>Cph</t>
  </si>
  <si>
    <t>Kyiv</t>
  </si>
  <si>
    <t>Costs</t>
  </si>
  <si>
    <t>€/m2</t>
  </si>
  <si>
    <t>€</t>
  </si>
  <si>
    <t>€/m3</t>
  </si>
  <si>
    <t>$/m2 solar panel</t>
  </si>
  <si>
    <t>Solar panel</t>
  </si>
  <si>
    <t>Tank</t>
  </si>
  <si>
    <t>Investment cost</t>
  </si>
  <si>
    <t>O&amp;M</t>
  </si>
  <si>
    <t>Depreciatio</t>
  </si>
  <si>
    <t>year</t>
  </si>
  <si>
    <t>€/kWh</t>
  </si>
  <si>
    <t>Storage tank</t>
  </si>
  <si>
    <t>$</t>
  </si>
  <si>
    <t>MWh/year</t>
  </si>
  <si>
    <t>Heat price Kyiv</t>
  </si>
  <si>
    <t>Yield, Kyiv</t>
  </si>
  <si>
    <t>Yield, Odessa</t>
  </si>
  <si>
    <t>Yield  Kyiv</t>
  </si>
  <si>
    <t>Solar panels</t>
  </si>
  <si>
    <t>Plant excluding  day-night storage</t>
  </si>
  <si>
    <t>Day-nigth storage</t>
  </si>
  <si>
    <t>Fixed O&amp;M</t>
  </si>
  <si>
    <t>Electricity use</t>
  </si>
  <si>
    <t>€/MWh =</t>
  </si>
  <si>
    <t>UAH/MWh</t>
  </si>
  <si>
    <t>kWh/MWh_h</t>
  </si>
  <si>
    <t xml:space="preserve">€/kWh = </t>
  </si>
  <si>
    <t>Annual costs</t>
  </si>
  <si>
    <t>€/year</t>
  </si>
  <si>
    <t>€/y at electricity price</t>
  </si>
  <si>
    <t>Plant excluding day-night storage</t>
  </si>
  <si>
    <t>Day-night storage</t>
  </si>
  <si>
    <t xml:space="preserve">€/year, lifetime </t>
  </si>
  <si>
    <t>years</t>
  </si>
  <si>
    <t>interest</t>
  </si>
  <si>
    <t>Pay-back</t>
  </si>
  <si>
    <t>m3</t>
  </si>
  <si>
    <t>Solar heat price, Kyiv</t>
  </si>
  <si>
    <t>Solar heat price Odessa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</si>
</sst>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1" fontId="0" fillId="0" borderId="0" xfId="1" applyNumberFormat="1" applyFon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Kyiv, kWh/m</a:t>
            </a:r>
            <a:r>
              <a:rPr lang="en-GB" sz="2400" baseline="30000"/>
              <a:t>2</a:t>
            </a:r>
            <a:r>
              <a:rPr lang="en-GB" sz="2400"/>
              <a:t>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'Ark1'!$Q$10</c:f>
              <c:strCache>
                <c:ptCount val="1"/>
                <c:pt idx="0">
                  <c:v>Kyiv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'Ark1'!$P$11:$P$22</c:f>
              <c:strCache>
                <c:ptCount val="12"/>
                <c:pt idx="0">
                  <c:v>Jan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'Ark1'!$Q$11:$Q$22</c:f>
              <c:numCache>
                <c:formatCode>0</c:formatCode>
                <c:ptCount val="12"/>
                <c:pt idx="0">
                  <c:v>12.038029886363637</c:v>
                </c:pt>
                <c:pt idx="1">
                  <c:v>18.265152043226383</c:v>
                </c:pt>
                <c:pt idx="2">
                  <c:v>36.904752290552587</c:v>
                </c:pt>
                <c:pt idx="3">
                  <c:v>56.421198068181809</c:v>
                </c:pt>
                <c:pt idx="4">
                  <c:v>77.941296154188947</c:v>
                </c:pt>
                <c:pt idx="5">
                  <c:v>86.775998522727264</c:v>
                </c:pt>
                <c:pt idx="6">
                  <c:v>85.773926477272724</c:v>
                </c:pt>
                <c:pt idx="7">
                  <c:v>81.68945378787879</c:v>
                </c:pt>
                <c:pt idx="8">
                  <c:v>55.519827397504457</c:v>
                </c:pt>
                <c:pt idx="9">
                  <c:v>33.915274458556148</c:v>
                </c:pt>
                <c:pt idx="10">
                  <c:v>12.586219852941181</c:v>
                </c:pt>
                <c:pt idx="11">
                  <c:v>9.9170540374331573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F-4ECB-9FA0-3A36B83B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305759"/>
        <c:axId val="1510395199"/>
      </c:barChart>
      <c:catAx>
        <c:axId val="2763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395199"/>
        <c:crosses val="autoZero"/>
        <c:auto val="1"/>
        <c:lblAlgn val="ctr"/>
        <c:lblOffset val="100"/>
        <c:noMultiLvlLbl val="0"/>
      </c:catAx>
      <c:valAx>
        <c:axId val="151039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305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Odessa, kWh/m</a:t>
            </a:r>
            <a:r>
              <a:rPr lang="en-US" sz="2400" baseline="30000"/>
              <a:t>2</a:t>
            </a:r>
            <a:r>
              <a:rPr lang="en-US" sz="2400"/>
              <a:t>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'Ark1'!$S$10</c:f>
              <c:strCache>
                <c:ptCount val="1"/>
                <c:pt idx="0">
                  <c:v>Odessa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'Ark1'!$R$11:$R$22</c:f>
              <c:strCache>
                <c:ptCount val="12"/>
                <c:pt idx="0">
                  <c:v>Jan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'Ark1'!$S$11:$S$22</c:f>
              <c:numCache>
                <c:formatCode>0</c:formatCode>
                <c:ptCount val="12"/>
                <c:pt idx="0">
                  <c:v>20.600704472222223</c:v>
                </c:pt>
                <c:pt idx="1">
                  <c:v>29.961959499999995</c:v>
                </c:pt>
                <c:pt idx="2">
                  <c:v>45.536094046296292</c:v>
                </c:pt>
                <c:pt idx="3">
                  <c:v>69.25265263888889</c:v>
                </c:pt>
                <c:pt idx="4">
                  <c:v>95.656704305555536</c:v>
                </c:pt>
                <c:pt idx="5">
                  <c:v>103.26298194444442</c:v>
                </c:pt>
                <c:pt idx="6">
                  <c:v>110.53864112962962</c:v>
                </c:pt>
                <c:pt idx="7">
                  <c:v>106.81261951851852</c:v>
                </c:pt>
                <c:pt idx="8">
                  <c:v>74.786150638888884</c:v>
                </c:pt>
                <c:pt idx="9">
                  <c:v>50.129447999999996</c:v>
                </c:pt>
                <c:pt idx="10">
                  <c:v>23.493021805555546</c:v>
                </c:pt>
                <c:pt idx="11">
                  <c:v>19.974639666666665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C-4B66-8241-294A36B6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861871"/>
        <c:axId val="1512864783"/>
      </c:barChart>
      <c:catAx>
        <c:axId val="151286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64783"/>
        <c:crosses val="autoZero"/>
        <c:auto val="1"/>
        <c:lblAlgn val="ctr"/>
        <c:lblOffset val="100"/>
        <c:noMultiLvlLbl val="0"/>
      </c:catAx>
      <c:valAx>
        <c:axId val="151286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6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502047</xdr:colOff>
      <xdr:row>28</xdr:row>
      <xdr:rowOff>162984</xdr:rowOff>
    </xdr:from>
    <xdr:to>
      <xdr:col>16</xdr:col>
      <xdr:colOff>205714</xdr:colOff>
      <xdr:row>43</xdr:row>
      <xdr:rowOff>128059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4D90241-B8EC-21AA-CB47-BF1F185BA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146980</xdr:colOff>
      <xdr:row>15</xdr:row>
      <xdr:rowOff>15342</xdr:rowOff>
    </xdr:from>
    <xdr:to>
      <xdr:col>26</xdr:col>
      <xdr:colOff>459187</xdr:colOff>
      <xdr:row>29</xdr:row>
      <xdr:rowOff>164615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607A535-73D8-8EEB-B81B-660396143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0FEB-72ED-43DA-A17A-E66AFC93964A}">
  <dimension ref="A2:S73"/>
  <sheetViews>
    <sheetView tabSelected="1" topLeftCell="A49" zoomScale="131" workbookViewId="0">
      <selection activeCell="A60" sqref="A60"/>
    </sheetView>
  </sheetViews>
  <sheetFormatPr defaultRowHeight="14.5" x14ac:dyDescent="0.35"/>
  <cols>
    <col min="1" max="1" width="14.54296875" customWidth="1"/>
    <col min="3" max="4" width="11.81640625" bestFit="1" customWidth="1"/>
    <col min="6" max="6" width="9.453125" customWidth="1"/>
    <col min="10" max="10" width="10" customWidth="1"/>
  </cols>
  <sheetData>
    <row r="2" spans="1:19" x14ac:dyDescent="0.35"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1:19" x14ac:dyDescent="0.35">
      <c r="B3" t="s">
        <v>0</v>
      </c>
      <c r="C3" s="1">
        <f>D3-E3*(G3-H3)/I3-F3*(G3-H3)^2/I3</f>
        <v>0.52254687499999997</v>
      </c>
      <c r="D3">
        <v>0.85699999999999998</v>
      </c>
      <c r="E3">
        <v>3.08</v>
      </c>
      <c r="F3">
        <v>1.2999999999999999E-2</v>
      </c>
      <c r="G3">
        <f>(G5+G4)/2</f>
        <v>57.5</v>
      </c>
      <c r="H3">
        <v>20</v>
      </c>
      <c r="I3">
        <v>400</v>
      </c>
      <c r="J3" t="s">
        <v>35</v>
      </c>
      <c r="K3" t="s">
        <v>36</v>
      </c>
    </row>
    <row r="4" spans="1:19" x14ac:dyDescent="0.35">
      <c r="F4" t="s">
        <v>7</v>
      </c>
      <c r="G4">
        <v>75</v>
      </c>
      <c r="I4">
        <f>675/500*I3</f>
        <v>540</v>
      </c>
      <c r="J4" t="s">
        <v>35</v>
      </c>
      <c r="K4" t="s">
        <v>25</v>
      </c>
    </row>
    <row r="5" spans="1:19" x14ac:dyDescent="0.35">
      <c r="F5" t="s">
        <v>8</v>
      </c>
      <c r="G5">
        <v>40</v>
      </c>
      <c r="I5" s="3">
        <f>561/500*I3</f>
        <v>448.80000000000007</v>
      </c>
      <c r="J5" t="s">
        <v>35</v>
      </c>
      <c r="K5" t="s">
        <v>37</v>
      </c>
    </row>
    <row r="10" spans="1:19" x14ac:dyDescent="0.35">
      <c r="B10" t="s">
        <v>9</v>
      </c>
      <c r="C10" t="s">
        <v>23</v>
      </c>
      <c r="D10" t="s">
        <v>24</v>
      </c>
      <c r="E10" t="s">
        <v>22</v>
      </c>
      <c r="G10" t="s">
        <v>25</v>
      </c>
      <c r="H10" t="s">
        <v>23</v>
      </c>
      <c r="I10" t="s">
        <v>24</v>
      </c>
      <c r="L10" t="s">
        <v>31</v>
      </c>
      <c r="Q10" t="s">
        <v>37</v>
      </c>
      <c r="S10" t="s">
        <v>25</v>
      </c>
    </row>
    <row r="11" spans="1:19" x14ac:dyDescent="0.35">
      <c r="A11" t="s">
        <v>10</v>
      </c>
      <c r="B11">
        <v>37</v>
      </c>
      <c r="C11">
        <v>-2</v>
      </c>
      <c r="D11" s="1">
        <f>$D$3-$E$3*($G$3-C11)/$I$5-$F$3*($G$3-C11)^2/$I$5</f>
        <v>0.34611931818181824</v>
      </c>
      <c r="E11" s="2">
        <f>B11*D11</f>
        <v>12.806414772727274</v>
      </c>
      <c r="G11">
        <v>47</v>
      </c>
      <c r="H11">
        <v>2</v>
      </c>
      <c r="I11" s="1">
        <f>$D$3-$E$3*($G$3-H11)/$I$4-$F$3*($G$3-H11)^2/$I$4</f>
        <v>0.46629027777777782</v>
      </c>
      <c r="J11" s="2">
        <f t="shared" ref="J11:J22" si="0">G11*I11</f>
        <v>21.915643055555556</v>
      </c>
      <c r="L11">
        <v>30</v>
      </c>
      <c r="M11">
        <v>3</v>
      </c>
      <c r="N11" s="1">
        <f t="shared" ref="N11:N22" si="1">$D$3-$E$3*($G$3-M11)/$I$3-$F$3*($G$3-M11)^2/$I$3</f>
        <v>0.34081687499999996</v>
      </c>
      <c r="O11" s="2">
        <f t="shared" ref="O11:O22" si="2">L11*N11</f>
        <v>10.224506249999999</v>
      </c>
      <c r="P11" t="str">
        <f>A11</f>
        <v>Jan</v>
      </c>
      <c r="Q11" s="3">
        <f>E11*$O$24</f>
        <v>12.038029886363637</v>
      </c>
      <c r="R11" t="str">
        <f>A11</f>
        <v>Jan</v>
      </c>
      <c r="S11" s="3">
        <f>J11*$O$24</f>
        <v>20.600704472222223</v>
      </c>
    </row>
    <row r="12" spans="1:19" x14ac:dyDescent="0.35">
      <c r="A12" t="s">
        <v>11</v>
      </c>
      <c r="B12">
        <v>53</v>
      </c>
      <c r="C12">
        <v>0</v>
      </c>
      <c r="D12" s="1">
        <f t="shared" ref="D12:D22" si="3">$D$3-$E$3*($G$3-C12)/$I$5-$F$3*($G$3-C12)^2/$I$5</f>
        <v>0.36662288324420683</v>
      </c>
      <c r="E12" s="2">
        <f t="shared" ref="E12:E22" si="4">B12*D12</f>
        <v>19.431012811942963</v>
      </c>
      <c r="G12">
        <v>66</v>
      </c>
      <c r="H12">
        <v>4</v>
      </c>
      <c r="I12" s="1">
        <f t="shared" ref="I12:I22" si="5">$D$3-$E$3*($G$3-H12)/$I$4-$F$3*($G$3-H12)^2/$I$4</f>
        <v>0.4829458333333333</v>
      </c>
      <c r="J12" s="2">
        <f t="shared" si="0"/>
        <v>31.874424999999999</v>
      </c>
      <c r="L12">
        <v>45</v>
      </c>
      <c r="M12">
        <v>3</v>
      </c>
      <c r="N12" s="1">
        <f t="shared" si="1"/>
        <v>0.34081687499999996</v>
      </c>
      <c r="O12" s="2">
        <f t="shared" si="2"/>
        <v>15.336759374999998</v>
      </c>
      <c r="P12" t="str">
        <f t="shared" ref="P12:P22" si="6">A12</f>
        <v xml:space="preserve">Feb </v>
      </c>
      <c r="Q12" s="3">
        <f t="shared" ref="Q12:Q22" si="7">E12*$O$24</f>
        <v>18.265152043226383</v>
      </c>
      <c r="R12" t="str">
        <f t="shared" ref="R12:R22" si="8">A12</f>
        <v xml:space="preserve">Feb </v>
      </c>
      <c r="S12" s="3">
        <f t="shared" ref="S12:S22" si="9">J12*$O$24</f>
        <v>29.961959499999995</v>
      </c>
    </row>
    <row r="13" spans="1:19" x14ac:dyDescent="0.35">
      <c r="A13" t="s">
        <v>12</v>
      </c>
      <c r="B13">
        <v>92</v>
      </c>
      <c r="C13">
        <v>6</v>
      </c>
      <c r="D13" s="1">
        <f t="shared" si="3"/>
        <v>0.4267432040998218</v>
      </c>
      <c r="E13" s="2">
        <f t="shared" si="4"/>
        <v>39.260374777183607</v>
      </c>
      <c r="G13">
        <v>97</v>
      </c>
      <c r="H13">
        <v>6</v>
      </c>
      <c r="I13" s="1">
        <f t="shared" si="5"/>
        <v>0.49940879629629625</v>
      </c>
      <c r="J13" s="2">
        <f t="shared" si="0"/>
        <v>48.442653240740739</v>
      </c>
      <c r="L13">
        <v>90</v>
      </c>
      <c r="M13">
        <v>6</v>
      </c>
      <c r="N13" s="1">
        <f t="shared" si="1"/>
        <v>0.37425187499999996</v>
      </c>
      <c r="O13" s="2">
        <f t="shared" si="2"/>
        <v>33.682668749999998</v>
      </c>
      <c r="P13" t="str">
        <f t="shared" si="6"/>
        <v>Mar</v>
      </c>
      <c r="Q13" s="3">
        <f t="shared" si="7"/>
        <v>36.904752290552587</v>
      </c>
      <c r="R13" t="str">
        <f t="shared" si="8"/>
        <v>Mar</v>
      </c>
      <c r="S13" s="3">
        <f t="shared" si="9"/>
        <v>45.536094046296292</v>
      </c>
    </row>
    <row r="14" spans="1:19" x14ac:dyDescent="0.35">
      <c r="A14" t="s">
        <v>13</v>
      </c>
      <c r="B14">
        <v>117</v>
      </c>
      <c r="C14">
        <v>15</v>
      </c>
      <c r="D14" s="1">
        <f t="shared" si="3"/>
        <v>0.51301325757575755</v>
      </c>
      <c r="E14" s="2">
        <f t="shared" si="4"/>
        <v>60.022551136363631</v>
      </c>
      <c r="G14">
        <v>129</v>
      </c>
      <c r="H14">
        <v>15</v>
      </c>
      <c r="I14" s="1">
        <f t="shared" si="5"/>
        <v>0.57110879629629629</v>
      </c>
      <c r="J14" s="2">
        <f t="shared" si="0"/>
        <v>73.673034722222226</v>
      </c>
      <c r="L14">
        <v>130</v>
      </c>
      <c r="M14">
        <v>11</v>
      </c>
      <c r="N14" s="1">
        <f t="shared" si="1"/>
        <v>0.42867687500000001</v>
      </c>
      <c r="O14" s="2">
        <f t="shared" si="2"/>
        <v>55.727993750000003</v>
      </c>
      <c r="P14" t="str">
        <f t="shared" si="6"/>
        <v>Apr</v>
      </c>
      <c r="Q14" s="3">
        <f t="shared" si="7"/>
        <v>56.421198068181809</v>
      </c>
      <c r="R14" t="str">
        <f t="shared" si="8"/>
        <v>Apr</v>
      </c>
      <c r="S14" s="3">
        <f t="shared" si="9"/>
        <v>69.25265263888889</v>
      </c>
    </row>
    <row r="15" spans="1:19" x14ac:dyDescent="0.35">
      <c r="A15" t="s">
        <v>14</v>
      </c>
      <c r="B15">
        <v>146</v>
      </c>
      <c r="C15">
        <v>21</v>
      </c>
      <c r="D15" s="1">
        <f t="shared" si="3"/>
        <v>0.56791967468805704</v>
      </c>
      <c r="E15" s="2">
        <f t="shared" si="4"/>
        <v>82.91627250445633</v>
      </c>
      <c r="G15">
        <v>165</v>
      </c>
      <c r="H15">
        <v>21</v>
      </c>
      <c r="I15" s="1">
        <f t="shared" si="5"/>
        <v>0.6167421296296296</v>
      </c>
      <c r="J15" s="2">
        <f t="shared" si="0"/>
        <v>101.76245138888888</v>
      </c>
      <c r="L15">
        <v>157</v>
      </c>
      <c r="M15">
        <v>16</v>
      </c>
      <c r="N15" s="1">
        <f t="shared" si="1"/>
        <v>0.48147687499999997</v>
      </c>
      <c r="O15" s="2">
        <f t="shared" si="2"/>
        <v>75.591869375000002</v>
      </c>
      <c r="P15" t="str">
        <f t="shared" si="6"/>
        <v>May</v>
      </c>
      <c r="Q15" s="3">
        <f t="shared" si="7"/>
        <v>77.941296154188947</v>
      </c>
      <c r="R15" t="str">
        <f t="shared" si="8"/>
        <v>May</v>
      </c>
      <c r="S15" s="3">
        <f t="shared" si="9"/>
        <v>95.656704305555536</v>
      </c>
    </row>
    <row r="16" spans="1:19" x14ac:dyDescent="0.35">
      <c r="A16" t="s">
        <v>15</v>
      </c>
      <c r="B16">
        <v>153</v>
      </c>
      <c r="C16">
        <v>25</v>
      </c>
      <c r="D16" s="1">
        <f t="shared" si="3"/>
        <v>0.60336530748663098</v>
      </c>
      <c r="E16" s="2">
        <f t="shared" si="4"/>
        <v>92.314892045454542</v>
      </c>
      <c r="G16">
        <v>170</v>
      </c>
      <c r="H16">
        <v>25</v>
      </c>
      <c r="I16" s="1">
        <f t="shared" si="5"/>
        <v>0.64620138888888878</v>
      </c>
      <c r="J16" s="2">
        <f t="shared" si="0"/>
        <v>109.85423611111109</v>
      </c>
      <c r="L16">
        <v>150</v>
      </c>
      <c r="M16">
        <v>19</v>
      </c>
      <c r="N16" s="1">
        <f t="shared" si="1"/>
        <v>0.51237687499999995</v>
      </c>
      <c r="O16" s="2">
        <f t="shared" si="2"/>
        <v>76.856531249999989</v>
      </c>
      <c r="P16" t="str">
        <f t="shared" si="6"/>
        <v>June</v>
      </c>
      <c r="Q16" s="3">
        <f t="shared" si="7"/>
        <v>86.775998522727264</v>
      </c>
      <c r="R16" t="str">
        <f t="shared" si="8"/>
        <v>June</v>
      </c>
      <c r="S16" s="3">
        <f t="shared" si="9"/>
        <v>103.26298194444442</v>
      </c>
    </row>
    <row r="17" spans="1:19" x14ac:dyDescent="0.35">
      <c r="A17" t="s">
        <v>16</v>
      </c>
      <c r="B17">
        <v>147</v>
      </c>
      <c r="C17">
        <v>27</v>
      </c>
      <c r="D17" s="1">
        <f t="shared" si="3"/>
        <v>0.62074053030303034</v>
      </c>
      <c r="E17" s="2">
        <f t="shared" si="4"/>
        <v>91.248857954545457</v>
      </c>
      <c r="G17">
        <v>178</v>
      </c>
      <c r="H17">
        <v>27</v>
      </c>
      <c r="I17" s="1">
        <f t="shared" si="5"/>
        <v>0.66064212962962965</v>
      </c>
      <c r="J17" s="2">
        <f t="shared" si="0"/>
        <v>117.59429907407407</v>
      </c>
      <c r="L17">
        <v>146</v>
      </c>
      <c r="M17">
        <v>22</v>
      </c>
      <c r="N17" s="1">
        <f t="shared" si="1"/>
        <v>0.54269187500000005</v>
      </c>
      <c r="O17" s="2">
        <f t="shared" si="2"/>
        <v>79.233013750000012</v>
      </c>
      <c r="P17" t="str">
        <f t="shared" si="6"/>
        <v>July</v>
      </c>
      <c r="Q17" s="3">
        <f t="shared" si="7"/>
        <v>85.773926477272724</v>
      </c>
      <c r="R17" t="str">
        <f t="shared" si="8"/>
        <v>July</v>
      </c>
      <c r="S17" s="3">
        <f t="shared" si="9"/>
        <v>110.53864112962962</v>
      </c>
    </row>
    <row r="18" spans="1:19" x14ac:dyDescent="0.35">
      <c r="A18" t="s">
        <v>17</v>
      </c>
      <c r="B18">
        <v>140</v>
      </c>
      <c r="C18">
        <v>27</v>
      </c>
      <c r="D18" s="1">
        <f t="shared" si="3"/>
        <v>0.62074053030303034</v>
      </c>
      <c r="E18" s="2">
        <f t="shared" si="4"/>
        <v>86.903674242424245</v>
      </c>
      <c r="G18">
        <v>172</v>
      </c>
      <c r="H18">
        <v>27</v>
      </c>
      <c r="I18" s="1">
        <f t="shared" si="5"/>
        <v>0.66064212962962965</v>
      </c>
      <c r="J18" s="2">
        <f t="shared" si="0"/>
        <v>113.6304462962963</v>
      </c>
      <c r="L18">
        <v>124</v>
      </c>
      <c r="M18">
        <v>21</v>
      </c>
      <c r="N18" s="1">
        <f t="shared" si="1"/>
        <v>0.532651875</v>
      </c>
      <c r="O18" s="2">
        <f t="shared" si="2"/>
        <v>66.048832500000003</v>
      </c>
      <c r="P18" t="str">
        <f t="shared" si="6"/>
        <v>Aug</v>
      </c>
      <c r="Q18" s="3">
        <f t="shared" si="7"/>
        <v>81.68945378787879</v>
      </c>
      <c r="R18" t="str">
        <f t="shared" si="8"/>
        <v>Aug</v>
      </c>
      <c r="S18" s="3">
        <f t="shared" si="9"/>
        <v>106.81261951851852</v>
      </c>
    </row>
    <row r="19" spans="1:19" x14ac:dyDescent="0.35">
      <c r="A19" t="s">
        <v>18</v>
      </c>
      <c r="B19">
        <v>104</v>
      </c>
      <c r="C19">
        <v>21</v>
      </c>
      <c r="D19" s="1">
        <f t="shared" si="3"/>
        <v>0.56791967468805704</v>
      </c>
      <c r="E19" s="2">
        <f t="shared" si="4"/>
        <v>59.063646167557934</v>
      </c>
      <c r="G19">
        <v>129</v>
      </c>
      <c r="H19">
        <v>21</v>
      </c>
      <c r="I19" s="1">
        <f t="shared" si="5"/>
        <v>0.6167421296296296</v>
      </c>
      <c r="J19" s="2">
        <f t="shared" si="0"/>
        <v>79.559734722222217</v>
      </c>
      <c r="L19">
        <v>90</v>
      </c>
      <c r="M19">
        <v>17</v>
      </c>
      <c r="N19" s="1">
        <f t="shared" si="1"/>
        <v>0.49184187500000004</v>
      </c>
      <c r="O19" s="2">
        <f t="shared" si="2"/>
        <v>44.265768750000007</v>
      </c>
      <c r="P19" t="str">
        <f t="shared" si="6"/>
        <v>Sep</v>
      </c>
      <c r="Q19" s="3">
        <f t="shared" si="7"/>
        <v>55.519827397504457</v>
      </c>
      <c r="R19" t="str">
        <f t="shared" si="8"/>
        <v>Sep</v>
      </c>
      <c r="S19" s="3">
        <f t="shared" si="9"/>
        <v>74.786150638888884</v>
      </c>
    </row>
    <row r="20" spans="1:19" x14ac:dyDescent="0.35">
      <c r="A20" t="s">
        <v>19</v>
      </c>
      <c r="B20">
        <v>73</v>
      </c>
      <c r="C20">
        <v>13</v>
      </c>
      <c r="D20" s="1">
        <f t="shared" si="3"/>
        <v>0.49424766042780743</v>
      </c>
      <c r="E20" s="2">
        <f t="shared" si="4"/>
        <v>36.080079211229943</v>
      </c>
      <c r="G20">
        <v>96</v>
      </c>
      <c r="H20">
        <v>13</v>
      </c>
      <c r="I20" s="1">
        <f t="shared" si="5"/>
        <v>0.55551249999999996</v>
      </c>
      <c r="J20" s="2">
        <f t="shared" si="0"/>
        <v>53.3292</v>
      </c>
      <c r="L20">
        <v>56</v>
      </c>
      <c r="M20">
        <v>12</v>
      </c>
      <c r="N20" s="1">
        <f t="shared" si="1"/>
        <v>0.43936687499999993</v>
      </c>
      <c r="O20" s="2">
        <f t="shared" si="2"/>
        <v>24.604544999999995</v>
      </c>
      <c r="P20" t="str">
        <f t="shared" si="6"/>
        <v>Oct</v>
      </c>
      <c r="Q20" s="3">
        <f t="shared" si="7"/>
        <v>33.915274458556148</v>
      </c>
      <c r="R20" t="str">
        <f t="shared" si="8"/>
        <v>Oct</v>
      </c>
      <c r="S20" s="3">
        <f t="shared" si="9"/>
        <v>50.129447999999996</v>
      </c>
    </row>
    <row r="21" spans="1:19" x14ac:dyDescent="0.35">
      <c r="A21" t="s">
        <v>20</v>
      </c>
      <c r="B21">
        <v>30</v>
      </c>
      <c r="C21">
        <v>8</v>
      </c>
      <c r="D21" s="1">
        <f t="shared" si="3"/>
        <v>0.4463198529411766</v>
      </c>
      <c r="E21" s="2">
        <f t="shared" si="4"/>
        <v>13.389595588235299</v>
      </c>
      <c r="G21">
        <v>47</v>
      </c>
      <c r="H21">
        <v>10</v>
      </c>
      <c r="I21" s="1">
        <f t="shared" si="5"/>
        <v>0.53175694444444432</v>
      </c>
      <c r="J21" s="2">
        <f t="shared" si="0"/>
        <v>24.992576388888882</v>
      </c>
      <c r="L21">
        <v>29</v>
      </c>
      <c r="M21">
        <v>7</v>
      </c>
      <c r="N21" s="1">
        <f t="shared" si="1"/>
        <v>0.38526687500000001</v>
      </c>
      <c r="O21" s="2">
        <f t="shared" si="2"/>
        <v>11.172739375000001</v>
      </c>
      <c r="P21" t="str">
        <f t="shared" si="6"/>
        <v>Nov</v>
      </c>
      <c r="Q21" s="3">
        <f t="shared" si="7"/>
        <v>12.586219852941181</v>
      </c>
      <c r="R21" t="str">
        <f t="shared" si="8"/>
        <v>Nov</v>
      </c>
      <c r="S21" s="3">
        <f t="shared" si="9"/>
        <v>23.493021805555546</v>
      </c>
    </row>
    <row r="22" spans="1:19" x14ac:dyDescent="0.35">
      <c r="A22" t="s">
        <v>21</v>
      </c>
      <c r="B22">
        <v>28</v>
      </c>
      <c r="C22">
        <v>1</v>
      </c>
      <c r="D22" s="1">
        <f t="shared" si="3"/>
        <v>0.37678776737967923</v>
      </c>
      <c r="E22" s="2">
        <f t="shared" si="4"/>
        <v>10.550057486631019</v>
      </c>
      <c r="G22">
        <v>44</v>
      </c>
      <c r="H22">
        <v>4</v>
      </c>
      <c r="I22" s="1">
        <f t="shared" si="5"/>
        <v>0.4829458333333333</v>
      </c>
      <c r="J22" s="2">
        <f t="shared" si="0"/>
        <v>21.249616666666665</v>
      </c>
      <c r="L22">
        <v>20</v>
      </c>
      <c r="M22">
        <v>4</v>
      </c>
      <c r="N22" s="1">
        <f t="shared" si="1"/>
        <v>0.35202687500000002</v>
      </c>
      <c r="O22" s="2">
        <f t="shared" si="2"/>
        <v>7.0405375000000001</v>
      </c>
      <c r="P22" t="str">
        <f t="shared" si="6"/>
        <v>Dec</v>
      </c>
      <c r="Q22" s="3">
        <f t="shared" si="7"/>
        <v>9.9170540374331573</v>
      </c>
      <c r="R22" t="str">
        <f t="shared" si="8"/>
        <v>Dec</v>
      </c>
      <c r="S22" s="3">
        <f t="shared" si="9"/>
        <v>19.974639666666665</v>
      </c>
    </row>
    <row r="23" spans="1:19" x14ac:dyDescent="0.35">
      <c r="A23" t="s">
        <v>33</v>
      </c>
      <c r="E23" s="3">
        <f>SUM(E11:E22)</f>
        <v>603.9874286987523</v>
      </c>
      <c r="J23" s="3">
        <f>SUM(J11:J22)</f>
        <v>797.87831666666659</v>
      </c>
      <c r="O23" s="3">
        <f>SUM(O11:O22)</f>
        <v>499.78576562500001</v>
      </c>
      <c r="Q23" s="3">
        <f>SUM(Q11:Q22)</f>
        <v>567.74818297682702</v>
      </c>
      <c r="S23" s="3">
        <f>SUM(S11:S22)</f>
        <v>750.00561766666669</v>
      </c>
    </row>
    <row r="24" spans="1:19" x14ac:dyDescent="0.35">
      <c r="A24" t="s">
        <v>32</v>
      </c>
      <c r="E24" s="4">
        <f>O24</f>
        <v>0.94</v>
      </c>
      <c r="J24" s="4">
        <f>O24</f>
        <v>0.94</v>
      </c>
      <c r="O24" s="4">
        <v>0.94</v>
      </c>
    </row>
    <row r="25" spans="1:19" x14ac:dyDescent="0.35">
      <c r="A25" t="s">
        <v>34</v>
      </c>
      <c r="E25" s="3">
        <f>E23*E24</f>
        <v>567.74818297682714</v>
      </c>
      <c r="F25" t="s">
        <v>27</v>
      </c>
      <c r="J25" s="3">
        <f>J23*J24</f>
        <v>750.00561766666658</v>
      </c>
      <c r="K25" t="s">
        <v>27</v>
      </c>
      <c r="N25">
        <v>471</v>
      </c>
      <c r="O25" s="3">
        <f>O23*O24</f>
        <v>469.79861968749998</v>
      </c>
      <c r="P25" t="s">
        <v>27</v>
      </c>
    </row>
    <row r="26" spans="1:19" x14ac:dyDescent="0.35">
      <c r="A26" t="s">
        <v>28</v>
      </c>
      <c r="E26">
        <v>10000</v>
      </c>
      <c r="F26" t="s">
        <v>29</v>
      </c>
      <c r="J26">
        <v>10000</v>
      </c>
      <c r="K26" t="s">
        <v>29</v>
      </c>
      <c r="O26">
        <v>10000</v>
      </c>
      <c r="P26" t="s">
        <v>29</v>
      </c>
    </row>
    <row r="27" spans="1:19" x14ac:dyDescent="0.35">
      <c r="A27" t="s">
        <v>26</v>
      </c>
      <c r="E27" s="5">
        <f>E25*E26/1000</f>
        <v>5677.4818297682714</v>
      </c>
      <c r="F27" t="s">
        <v>30</v>
      </c>
      <c r="J27" s="5">
        <f>J25*J26/1000</f>
        <v>7500.056176666666</v>
      </c>
      <c r="K27" t="s">
        <v>30</v>
      </c>
      <c r="O27" s="5">
        <f>O25*O26/1000</f>
        <v>4697.9861968749992</v>
      </c>
      <c r="P27" t="s">
        <v>30</v>
      </c>
    </row>
    <row r="46" spans="1:6" x14ac:dyDescent="0.35">
      <c r="A46" t="s">
        <v>38</v>
      </c>
    </row>
    <row r="48" spans="1:6" x14ac:dyDescent="0.35">
      <c r="A48" t="s">
        <v>58</v>
      </c>
      <c r="D48">
        <v>250000</v>
      </c>
      <c r="E48">
        <v>167</v>
      </c>
      <c r="F48" t="s">
        <v>39</v>
      </c>
    </row>
    <row r="49" spans="1:10" x14ac:dyDescent="0.35">
      <c r="A49" t="s">
        <v>59</v>
      </c>
      <c r="D49">
        <v>60</v>
      </c>
      <c r="E49" t="s">
        <v>41</v>
      </c>
      <c r="F49">
        <f>D49*0.2</f>
        <v>12</v>
      </c>
      <c r="G49" t="s">
        <v>42</v>
      </c>
    </row>
    <row r="50" spans="1:10" x14ac:dyDescent="0.35">
      <c r="A50" t="s">
        <v>57</v>
      </c>
      <c r="D50">
        <v>10000</v>
      </c>
      <c r="E50" t="s">
        <v>29</v>
      </c>
      <c r="F50" t="s">
        <v>44</v>
      </c>
      <c r="G50">
        <f>D50*0.2</f>
        <v>2000</v>
      </c>
      <c r="H50" t="s">
        <v>75</v>
      </c>
    </row>
    <row r="51" spans="1:10" x14ac:dyDescent="0.35">
      <c r="A51" t="s">
        <v>69</v>
      </c>
      <c r="D51" s="5">
        <f>D48+E48*D50</f>
        <v>1920000</v>
      </c>
      <c r="E51" t="s">
        <v>40</v>
      </c>
    </row>
    <row r="52" spans="1:10" x14ac:dyDescent="0.35">
      <c r="A52" t="s">
        <v>50</v>
      </c>
      <c r="D52" s="5">
        <f>D49*G50</f>
        <v>120000</v>
      </c>
      <c r="E52" t="s">
        <v>51</v>
      </c>
    </row>
    <row r="53" spans="1:10" x14ac:dyDescent="0.35">
      <c r="A53" t="s">
        <v>45</v>
      </c>
      <c r="D53" s="5">
        <f>D$48+E$48*D50+D52</f>
        <v>2040000</v>
      </c>
      <c r="E53" t="s">
        <v>40</v>
      </c>
    </row>
    <row r="54" spans="1:10" x14ac:dyDescent="0.35">
      <c r="D54" s="5"/>
    </row>
    <row r="55" spans="1:10" x14ac:dyDescent="0.35">
      <c r="A55" t="s">
        <v>60</v>
      </c>
      <c r="B55">
        <v>0.04</v>
      </c>
      <c r="C55" t="s">
        <v>39</v>
      </c>
      <c r="D55" s="3">
        <f>D50*B55</f>
        <v>400</v>
      </c>
      <c r="E55" t="s">
        <v>67</v>
      </c>
    </row>
    <row r="56" spans="1:10" x14ac:dyDescent="0.35">
      <c r="A56" t="s">
        <v>61</v>
      </c>
      <c r="B56" s="7">
        <f>0.19*7.44/0.455</f>
        <v>3.106813186813187</v>
      </c>
      <c r="C56" t="s">
        <v>64</v>
      </c>
      <c r="D56" s="3">
        <f>B56/1000*G56*D60</f>
        <v>881.94377083081633</v>
      </c>
      <c r="E56" t="s">
        <v>68</v>
      </c>
      <c r="G56">
        <v>50</v>
      </c>
      <c r="H56" t="s">
        <v>62</v>
      </c>
      <c r="I56">
        <f>G56*40</f>
        <v>2000</v>
      </c>
      <c r="J56" t="s">
        <v>63</v>
      </c>
    </row>
    <row r="57" spans="1:10" x14ac:dyDescent="0.35">
      <c r="A57" t="s">
        <v>74</v>
      </c>
      <c r="B57" s="8">
        <v>0.05</v>
      </c>
      <c r="C57" t="s">
        <v>73</v>
      </c>
      <c r="D57" s="3">
        <f>(B$57/(1-(1+B$57)^-$G57))*D53</f>
        <v>132704.92756376424</v>
      </c>
      <c r="E57" t="s">
        <v>71</v>
      </c>
      <c r="G57">
        <v>30</v>
      </c>
      <c r="H57" t="s">
        <v>72</v>
      </c>
    </row>
    <row r="58" spans="1:10" x14ac:dyDescent="0.35">
      <c r="A58" t="s">
        <v>66</v>
      </c>
      <c r="D58" s="3">
        <f>SUM(D55:D57)</f>
        <v>133986.87133459505</v>
      </c>
      <c r="E58" t="s">
        <v>67</v>
      </c>
    </row>
    <row r="60" spans="1:10" x14ac:dyDescent="0.35">
      <c r="A60" t="s">
        <v>54</v>
      </c>
      <c r="D60" s="3">
        <f>$E$25*D50/1000</f>
        <v>5677.4818297682714</v>
      </c>
      <c r="E60" t="s">
        <v>52</v>
      </c>
    </row>
    <row r="61" spans="1:10" x14ac:dyDescent="0.35">
      <c r="A61" t="s">
        <v>53</v>
      </c>
      <c r="D61" s="6">
        <f>(D55+D57)/D60/1000</f>
        <v>2.344435993891978E-2</v>
      </c>
      <c r="E61" t="s">
        <v>65</v>
      </c>
      <c r="I61" s="3">
        <f>D61*40*1000</f>
        <v>937.7743975567912</v>
      </c>
      <c r="J61" t="s">
        <v>63</v>
      </c>
    </row>
    <row r="62" spans="1:10" x14ac:dyDescent="0.35">
      <c r="D62" s="6"/>
    </row>
    <row r="63" spans="1:10" x14ac:dyDescent="0.35">
      <c r="A63" t="s">
        <v>55</v>
      </c>
      <c r="D63" s="3">
        <f>J25*D50/1000</f>
        <v>7500.056176666666</v>
      </c>
      <c r="E63" t="s">
        <v>52</v>
      </c>
    </row>
    <row r="64" spans="1:10" x14ac:dyDescent="0.35">
      <c r="A64" t="s">
        <v>77</v>
      </c>
      <c r="D64" s="6">
        <f>(D55+D57)/D63/1000</f>
        <v>1.7747190744766068E-2</v>
      </c>
      <c r="E64" t="s">
        <v>49</v>
      </c>
      <c r="I64" s="3">
        <f>D64*40*1000</f>
        <v>709.88762979064268</v>
      </c>
      <c r="J64" t="s">
        <v>63</v>
      </c>
    </row>
    <row r="66" spans="1:8" x14ac:dyDescent="0.35">
      <c r="A66" t="s">
        <v>58</v>
      </c>
      <c r="D66">
        <v>250000</v>
      </c>
      <c r="E66">
        <v>167</v>
      </c>
      <c r="F66" t="s">
        <v>39</v>
      </c>
    </row>
    <row r="67" spans="1:8" x14ac:dyDescent="0.35">
      <c r="A67" t="s">
        <v>70</v>
      </c>
      <c r="D67">
        <v>60</v>
      </c>
      <c r="E67" t="s">
        <v>41</v>
      </c>
      <c r="F67">
        <f>D67*0.2</f>
        <v>12</v>
      </c>
      <c r="G67" t="s">
        <v>42</v>
      </c>
    </row>
    <row r="68" spans="1:8" x14ac:dyDescent="0.35">
      <c r="A68" t="s">
        <v>43</v>
      </c>
      <c r="D68">
        <v>40000</v>
      </c>
      <c r="E68" t="s">
        <v>29</v>
      </c>
      <c r="F68" t="s">
        <v>44</v>
      </c>
      <c r="G68">
        <f>D68*0.2</f>
        <v>8000</v>
      </c>
      <c r="H68" t="s">
        <v>29</v>
      </c>
    </row>
    <row r="69" spans="1:8" x14ac:dyDescent="0.35">
      <c r="A69" t="s">
        <v>45</v>
      </c>
      <c r="D69" s="5">
        <f>D$48+E$48*D68</f>
        <v>6930000</v>
      </c>
      <c r="E69" t="s">
        <v>40</v>
      </c>
    </row>
    <row r="70" spans="1:8" x14ac:dyDescent="0.35">
      <c r="A70" t="s">
        <v>46</v>
      </c>
      <c r="B70">
        <v>0.04</v>
      </c>
      <c r="C70" t="s">
        <v>39</v>
      </c>
      <c r="D70" s="3">
        <f>D68*B70</f>
        <v>1600</v>
      </c>
      <c r="E70" t="s">
        <v>40</v>
      </c>
    </row>
    <row r="71" spans="1:8" x14ac:dyDescent="0.35">
      <c r="A71" t="s">
        <v>47</v>
      </c>
      <c r="B71">
        <v>15</v>
      </c>
      <c r="C71" t="s">
        <v>48</v>
      </c>
      <c r="D71">
        <f>D69/B71</f>
        <v>462000</v>
      </c>
      <c r="E71" t="s">
        <v>40</v>
      </c>
    </row>
    <row r="72" spans="1:8" x14ac:dyDescent="0.35">
      <c r="A72" t="s">
        <v>56</v>
      </c>
      <c r="D72" s="3">
        <f>$E$25*D68/1000</f>
        <v>22709.927319073086</v>
      </c>
      <c r="E72" t="s">
        <v>30</v>
      </c>
    </row>
    <row r="73" spans="1:8" x14ac:dyDescent="0.35">
      <c r="A73" t="s">
        <v>76</v>
      </c>
      <c r="D73" s="6">
        <f>(D70+D71)/D72/1000</f>
        <v>2.0413979907837151E-2</v>
      </c>
      <c r="E73" t="s">
        <v>49</v>
      </c>
      <c r="F73" s="1">
        <f>D73/D61</f>
        <v>0.87074161807028394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</dc:creator>
  <cp:lastModifiedBy>Gunnar</cp:lastModifiedBy>
  <dcterms:created xsi:type="dcterms:W3CDTF">2022-12-15T21:41:24Z</dcterms:created>
  <dcterms:modified xsi:type="dcterms:W3CDTF">2022-12-21T18:32:16Z</dcterms:modified>
</cp:coreProperties>
</file>